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66925"/>
  <xr:revisionPtr revIDLastSave="0" documentId="8_{E49A2C2B-0B43-4158-907A-8997AA7F2287}" xr6:coauthVersionLast="47" xr6:coauthVersionMax="47" xr10:uidLastSave="{00000000-0000-0000-0000-000000000000}"/>
  <bookViews>
    <workbookView xWindow="240" yWindow="105" windowWidth="14805" windowHeight="8010" firstSheet="1" activeTab="1" xr2:uid="{00000000-000D-0000-FFFF-FFFF00000000}"/>
  </bookViews>
  <sheets>
    <sheet name="DCF" sheetId="1" r:id="rId1"/>
    <sheet name="Comp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" i="2" l="1"/>
  <c r="Q20" i="2"/>
  <c r="R29" i="2"/>
  <c r="R31" i="2"/>
  <c r="R30" i="2"/>
  <c r="Q28" i="2"/>
  <c r="Q29" i="2"/>
  <c r="Q30" i="2"/>
  <c r="Q31" i="2"/>
  <c r="Q32" i="2"/>
  <c r="P29" i="2"/>
  <c r="P31" i="2"/>
  <c r="P28" i="2"/>
  <c r="P30" i="2" s="1"/>
  <c r="P32" i="2" s="1"/>
  <c r="J7" i="2"/>
  <c r="P7" i="2" s="1"/>
  <c r="AA18" i="1"/>
  <c r="AA17" i="1"/>
  <c r="O7" i="1"/>
  <c r="P6" i="1"/>
  <c r="AA11" i="1"/>
  <c r="AA12" i="1"/>
  <c r="AA13" i="1"/>
  <c r="AA14" i="1"/>
  <c r="AA15" i="1"/>
  <c r="AA16" i="1"/>
  <c r="AA10" i="1"/>
  <c r="V11" i="1"/>
  <c r="J15" i="1"/>
  <c r="J14" i="1"/>
  <c r="J12" i="1"/>
  <c r="D17" i="1"/>
  <c r="D16" i="1"/>
  <c r="D15" i="1"/>
  <c r="D14" i="1"/>
  <c r="D13" i="1"/>
  <c r="D18" i="1"/>
  <c r="O6" i="1" s="1"/>
  <c r="AA9" i="1" s="1"/>
  <c r="R32" i="2" l="1"/>
  <c r="R28" i="2"/>
  <c r="P24" i="2"/>
  <c r="P23" i="2"/>
  <c r="P22" i="2"/>
  <c r="P21" i="2"/>
  <c r="P20" i="2"/>
  <c r="P19" i="2"/>
  <c r="R7" i="2"/>
  <c r="J16" i="1"/>
  <c r="R19" i="2" l="1"/>
  <c r="R20" i="2"/>
  <c r="R21" i="2"/>
  <c r="R22" i="2"/>
  <c r="R23" i="2"/>
  <c r="R24" i="2"/>
  <c r="Q7" i="2"/>
  <c r="V5" i="1"/>
  <c r="V10" i="1" s="1"/>
  <c r="AC5" i="1"/>
  <c r="Q19" i="2" l="1"/>
  <c r="Q21" i="2"/>
  <c r="Q22" i="2"/>
  <c r="Q23" i="2"/>
  <c r="Q24" i="2"/>
  <c r="V12" i="1"/>
  <c r="AA19" i="1" s="1"/>
  <c r="AB10" i="1"/>
  <c r="AC10" i="1" s="1"/>
  <c r="AB11" i="1"/>
  <c r="AC11" i="1" s="1"/>
  <c r="AB12" i="1"/>
  <c r="AC12" i="1" s="1"/>
  <c r="AB13" i="1"/>
  <c r="AC13" i="1" s="1"/>
  <c r="AB14" i="1"/>
  <c r="AC14" i="1" s="1"/>
  <c r="AB15" i="1"/>
  <c r="AC15" i="1" s="1"/>
  <c r="AB16" i="1"/>
  <c r="AC16" i="1" s="1"/>
  <c r="AB17" i="1"/>
  <c r="AC17" i="1" s="1"/>
  <c r="AB18" i="1"/>
  <c r="AB9" i="1"/>
  <c r="AC9" i="1" s="1"/>
  <c r="AB19" i="1" l="1"/>
  <c r="AC19" i="1" s="1"/>
  <c r="AC18" i="1"/>
  <c r="AC21" i="1" s="1"/>
  <c r="AI5" i="1" s="1"/>
  <c r="AI11" i="1" s="1"/>
  <c r="AI15" i="1" s="1"/>
  <c r="AH18" i="1" s="1"/>
</calcChain>
</file>

<file path=xl/sharedStrings.xml><?xml version="1.0" encoding="utf-8"?>
<sst xmlns="http://schemas.openxmlformats.org/spreadsheetml/2006/main" count="95" uniqueCount="69">
  <si>
    <t>Calculating FCF</t>
  </si>
  <si>
    <t>WACC Calculation</t>
  </si>
  <si>
    <t xml:space="preserve">Forecast FCF </t>
  </si>
  <si>
    <t>Terminal Value</t>
  </si>
  <si>
    <t>Enterprise Value Calculation</t>
  </si>
  <si>
    <t>Equity Value</t>
  </si>
  <si>
    <t>Assumptions</t>
  </si>
  <si>
    <t>EBIT</t>
  </si>
  <si>
    <t>Year</t>
  </si>
  <si>
    <t>FCF</t>
  </si>
  <si>
    <t>EBITDA</t>
  </si>
  <si>
    <t>WACC</t>
  </si>
  <si>
    <t>Enterprise Value</t>
  </si>
  <si>
    <t>Tax Rate</t>
  </si>
  <si>
    <t>Debt Value</t>
  </si>
  <si>
    <t>Growth Rate</t>
  </si>
  <si>
    <t>Short Term Debt</t>
  </si>
  <si>
    <t>Depreciation</t>
  </si>
  <si>
    <t>Cost of Debt</t>
  </si>
  <si>
    <t>EV/EBITDA Multiple</t>
  </si>
  <si>
    <t>Discount Free Cash Flows</t>
  </si>
  <si>
    <t>Long Term Debt</t>
  </si>
  <si>
    <t>Amortization</t>
  </si>
  <si>
    <t>Discount Factor</t>
  </si>
  <si>
    <t>PV of FCFs</t>
  </si>
  <si>
    <t>Preferred Stock</t>
  </si>
  <si>
    <t>CapEx</t>
  </si>
  <si>
    <t>10 yr Treasury</t>
  </si>
  <si>
    <t>Minority Interest</t>
  </si>
  <si>
    <t>Changes in NWC</t>
  </si>
  <si>
    <t>Beta</t>
  </si>
  <si>
    <t>Perpetuity Growth TV</t>
  </si>
  <si>
    <t>Cash &amp; Cash Equivalents</t>
  </si>
  <si>
    <t>Market Return</t>
  </si>
  <si>
    <t>Exit Multiple TV</t>
  </si>
  <si>
    <t>Free Cash Flow</t>
  </si>
  <si>
    <t>Cost of Equity</t>
  </si>
  <si>
    <t>Average TV</t>
  </si>
  <si>
    <t>E / D + E</t>
  </si>
  <si>
    <t>Implied Share Price</t>
  </si>
  <si>
    <t>D&amp;A</t>
  </si>
  <si>
    <t>D / D+ E</t>
  </si>
  <si>
    <t>Shares Outstanding</t>
  </si>
  <si>
    <t xml:space="preserve">Enterprise Value </t>
  </si>
  <si>
    <t>Comparable Companies Analysis</t>
  </si>
  <si>
    <t>Market Data</t>
  </si>
  <si>
    <t>Financials</t>
  </si>
  <si>
    <t>Valuation</t>
  </si>
  <si>
    <t>Share Price</t>
  </si>
  <si>
    <t>Net Debt</t>
  </si>
  <si>
    <t>Revenue</t>
  </si>
  <si>
    <t>Net Income</t>
  </si>
  <si>
    <t>EV/Revenue</t>
  </si>
  <si>
    <t>EV/EBITDA</t>
  </si>
  <si>
    <t>P/E</t>
  </si>
  <si>
    <t>Company</t>
  </si>
  <si>
    <t>Ticker</t>
  </si>
  <si>
    <t>Leidos Holdings</t>
  </si>
  <si>
    <t>LDOS</t>
  </si>
  <si>
    <t>High</t>
  </si>
  <si>
    <t>75th Percentile</t>
  </si>
  <si>
    <t>Average</t>
  </si>
  <si>
    <t>Median</t>
  </si>
  <si>
    <t>25th Percentile</t>
  </si>
  <si>
    <t>Low</t>
  </si>
  <si>
    <t>Implied Valuation</t>
  </si>
  <si>
    <t>Implied Enterprise Value</t>
  </si>
  <si>
    <t>Implied Market Value</t>
  </si>
  <si>
    <t>Implied Value Per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</si>
</sst>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sz val="16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9" fontId="0" fillId="0" borderId="0" xfId="0" applyNumberFormat="1"/>
    <xf numFmtId="0" fontId="1" fillId="2" borderId="1" xfId="0" applyFont="1" applyFill="1" applyBorder="1"/>
    <xf numFmtId="10" fontId="0" fillId="0" borderId="0" xfId="0" applyNumberFormat="1"/>
    <xf numFmtId="10" fontId="1" fillId="2" borderId="1" xfId="0" applyNumberFormat="1" applyFont="1" applyFill="1" applyBorder="1"/>
    <xf numFmtId="0" fontId="0" fillId="0" borderId="5" xfId="0" applyBorder="1"/>
    <xf numFmtId="0" fontId="2" fillId="0" borderId="5" xfId="0" applyFont="1" applyBorder="1"/>
    <xf numFmtId="0" fontId="1" fillId="0" borderId="1" xfId="0" applyFont="1" applyBorder="1"/>
    <xf numFmtId="0" fontId="0" fillId="0" borderId="0" xfId="0" applyAlignment="1">
      <alignment vertical="center"/>
    </xf>
    <xf numFmtId="0" fontId="0" fillId="3" borderId="0" xfId="0" applyFill="1"/>
    <xf numFmtId="0" fontId="0" fillId="0" borderId="12" xfId="0" applyBorder="1"/>
    <xf numFmtId="0" fontId="0" fillId="4" borderId="0" xfId="0" applyFill="1"/>
    <xf numFmtId="0" fontId="1" fillId="4" borderId="0" xfId="0" applyFont="1" applyFill="1"/>
    <xf numFmtId="0" fontId="1" fillId="0" borderId="0" xfId="0" applyFont="1"/>
    <xf numFmtId="3" fontId="0" fillId="0" borderId="0" xfId="0" applyNumberFormat="1"/>
    <xf numFmtId="3" fontId="0" fillId="0" borderId="0" xfId="0" applyNumberForma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0" fillId="0" borderId="12" xfId="0" applyBorder="1" applyAlignment="1">
      <alignment horizontal="left"/>
    </xf>
    <xf numFmtId="0" fontId="0" fillId="3" borderId="0" xfId="0" applyFill="1" applyAlignment="1">
      <alignment horizontal="left"/>
    </xf>
    <xf numFmtId="0" fontId="1" fillId="4" borderId="0" xfId="0" applyFont="1" applyFill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21"/>
  <sheetViews>
    <sheetView showGridLines="0" topLeftCell="R1" workbookViewId="0">
      <selection activeCell="V7" sqref="V7"/>
    </sheetView>
  </sheetViews>
  <sheetFormatPr defaultRowHeight="15"/>
  <cols>
    <col min="2" max="2" width="15.140625" customWidth="1"/>
    <col min="8" max="8" width="13.5703125" customWidth="1"/>
    <col min="15" max="16" width="10.85546875" customWidth="1"/>
    <col min="20" max="20" width="19.42578125" customWidth="1"/>
    <col min="26" max="26" width="13.7109375" customWidth="1"/>
    <col min="28" max="28" width="14.42578125" customWidth="1"/>
    <col min="29" max="29" width="10.85546875" customWidth="1"/>
    <col min="33" max="33" width="22.42578125" customWidth="1"/>
  </cols>
  <sheetData>
    <row r="2" spans="2:35">
      <c r="B2" s="39" t="s">
        <v>0</v>
      </c>
      <c r="C2" s="40"/>
      <c r="D2" s="41"/>
      <c r="H2" s="39" t="s">
        <v>1</v>
      </c>
      <c r="I2" s="40"/>
      <c r="J2" s="41"/>
      <c r="N2" s="39" t="s">
        <v>2</v>
      </c>
      <c r="O2" s="40"/>
      <c r="P2" s="41"/>
      <c r="T2" s="39" t="s">
        <v>3</v>
      </c>
      <c r="U2" s="40"/>
      <c r="V2" s="41"/>
      <c r="Z2" s="39" t="s">
        <v>4</v>
      </c>
      <c r="AA2" s="40"/>
      <c r="AB2" s="40"/>
      <c r="AC2" s="41"/>
      <c r="AG2" s="39" t="s">
        <v>5</v>
      </c>
      <c r="AH2" s="40"/>
      <c r="AI2" s="41"/>
    </row>
    <row r="4" spans="2:35">
      <c r="B4" s="42" t="s">
        <v>6</v>
      </c>
      <c r="C4" s="42"/>
      <c r="D4" s="42"/>
      <c r="T4" s="7" t="s">
        <v>6</v>
      </c>
      <c r="U4" s="6"/>
      <c r="V4" s="6"/>
      <c r="Z4" s="7" t="s">
        <v>6</v>
      </c>
      <c r="AA4" s="6"/>
      <c r="AB4" s="6"/>
      <c r="AC4" s="6"/>
    </row>
    <row r="5" spans="2:35">
      <c r="B5" s="1" t="s">
        <v>7</v>
      </c>
      <c r="C5" s="1"/>
      <c r="D5" s="1">
        <v>128.5</v>
      </c>
      <c r="H5" t="s">
        <v>5</v>
      </c>
      <c r="J5">
        <v>3667</v>
      </c>
      <c r="N5" s="6" t="s">
        <v>8</v>
      </c>
      <c r="O5" s="6" t="s">
        <v>9</v>
      </c>
      <c r="P5" s="6" t="s">
        <v>10</v>
      </c>
      <c r="T5" t="s">
        <v>11</v>
      </c>
      <c r="V5" s="4">
        <f>J16</f>
        <v>9.2143063398852934E-2</v>
      </c>
      <c r="Z5" t="s">
        <v>11</v>
      </c>
      <c r="AC5" s="4">
        <f>J16</f>
        <v>9.2143063398852934E-2</v>
      </c>
      <c r="AG5" t="s">
        <v>12</v>
      </c>
      <c r="AI5">
        <f>AC21</f>
        <v>3737.1873785554326</v>
      </c>
    </row>
    <row r="6" spans="2:35">
      <c r="B6" t="s">
        <v>13</v>
      </c>
      <c r="D6" s="2">
        <v>0.18</v>
      </c>
      <c r="H6" t="s">
        <v>14</v>
      </c>
      <c r="J6">
        <v>128.81</v>
      </c>
      <c r="N6">
        <v>1</v>
      </c>
      <c r="O6">
        <f>D18</f>
        <v>70.170000000000016</v>
      </c>
      <c r="P6">
        <f>D5+D7+D8</f>
        <v>156.5</v>
      </c>
      <c r="T6" t="s">
        <v>15</v>
      </c>
      <c r="V6" s="4">
        <v>2.5000000000000001E-2</v>
      </c>
      <c r="AG6" t="s">
        <v>16</v>
      </c>
      <c r="AI6">
        <v>0</v>
      </c>
    </row>
    <row r="7" spans="2:35">
      <c r="B7" t="s">
        <v>17</v>
      </c>
      <c r="D7">
        <v>22</v>
      </c>
      <c r="H7" t="s">
        <v>18</v>
      </c>
      <c r="J7" s="2">
        <v>3.39E-2</v>
      </c>
      <c r="N7">
        <v>2</v>
      </c>
      <c r="O7">
        <f>67</f>
        <v>67</v>
      </c>
      <c r="P7">
        <v>194.4</v>
      </c>
      <c r="T7" t="s">
        <v>19</v>
      </c>
      <c r="V7">
        <v>18</v>
      </c>
      <c r="Z7" s="44" t="s">
        <v>20</v>
      </c>
      <c r="AA7" s="44"/>
      <c r="AB7" s="44"/>
      <c r="AC7" s="44"/>
      <c r="AG7" t="s">
        <v>21</v>
      </c>
      <c r="AI7">
        <v>40.299999999999997</v>
      </c>
    </row>
    <row r="8" spans="2:35">
      <c r="B8" t="s">
        <v>22</v>
      </c>
      <c r="D8">
        <v>6</v>
      </c>
      <c r="H8" t="s">
        <v>13</v>
      </c>
      <c r="J8" s="2">
        <v>0.18</v>
      </c>
      <c r="N8">
        <v>3</v>
      </c>
      <c r="O8">
        <v>54.3</v>
      </c>
      <c r="P8">
        <v>227.1</v>
      </c>
      <c r="Z8" t="s">
        <v>8</v>
      </c>
      <c r="AA8" t="s">
        <v>9</v>
      </c>
      <c r="AB8" t="s">
        <v>23</v>
      </c>
      <c r="AC8" t="s">
        <v>24</v>
      </c>
      <c r="AG8" t="s">
        <v>25</v>
      </c>
      <c r="AI8">
        <v>0</v>
      </c>
    </row>
    <row r="9" spans="2:35">
      <c r="B9" t="s">
        <v>26</v>
      </c>
      <c r="D9">
        <v>64.599999999999994</v>
      </c>
      <c r="H9" t="s">
        <v>27</v>
      </c>
      <c r="J9" s="2">
        <v>4.9970000000000001E-2</v>
      </c>
      <c r="N9">
        <v>4</v>
      </c>
      <c r="O9">
        <v>72</v>
      </c>
      <c r="P9">
        <v>265.7</v>
      </c>
      <c r="T9" s="6"/>
      <c r="U9" s="6"/>
      <c r="V9" s="6"/>
      <c r="Z9">
        <v>1</v>
      </c>
      <c r="AA9">
        <f>O6</f>
        <v>70.170000000000016</v>
      </c>
      <c r="AB9">
        <f>1/((1+$AC$5)^Z9)</f>
        <v>0.91563095853752441</v>
      </c>
      <c r="AC9">
        <f>AA9*AB9</f>
        <v>64.249824360578103</v>
      </c>
      <c r="AG9" t="s">
        <v>28</v>
      </c>
      <c r="AI9">
        <v>0</v>
      </c>
    </row>
    <row r="10" spans="2:35">
      <c r="B10" t="s">
        <v>29</v>
      </c>
      <c r="D10">
        <v>-1.4</v>
      </c>
      <c r="H10" t="s">
        <v>30</v>
      </c>
      <c r="J10">
        <v>1.1100000000000001</v>
      </c>
      <c r="N10">
        <v>5</v>
      </c>
      <c r="O10">
        <v>102.7</v>
      </c>
      <c r="P10">
        <v>305.5</v>
      </c>
      <c r="T10" t="s">
        <v>31</v>
      </c>
      <c r="V10">
        <f>O15*(1+V6)/(V5-V6)</f>
        <v>4164.5403984468339</v>
      </c>
      <c r="Z10">
        <v>2</v>
      </c>
      <c r="AA10">
        <f>O9</f>
        <v>72</v>
      </c>
      <c r="AB10">
        <f t="shared" ref="AB10:AB18" si="0">1/((1+$AC$5)^Z10)</f>
        <v>0.8383800522323458</v>
      </c>
      <c r="AC10">
        <f t="shared" ref="AC10:AC18" si="1">AA10*AB10</f>
        <v>60.363363760728895</v>
      </c>
      <c r="AG10" t="s">
        <v>32</v>
      </c>
      <c r="AI10">
        <v>20.9</v>
      </c>
    </row>
    <row r="11" spans="2:35">
      <c r="H11" t="s">
        <v>33</v>
      </c>
      <c r="J11" s="2">
        <v>0.09</v>
      </c>
      <c r="N11">
        <v>6</v>
      </c>
      <c r="O11">
        <v>138</v>
      </c>
      <c r="P11">
        <v>345</v>
      </c>
      <c r="T11" t="s">
        <v>34</v>
      </c>
      <c r="V11">
        <f>P15*V7</f>
        <v>8926.1999999999989</v>
      </c>
      <c r="Z11">
        <v>3</v>
      </c>
      <c r="AA11">
        <f>O10</f>
        <v>102.7</v>
      </c>
      <c r="AB11">
        <f t="shared" si="0"/>
        <v>0.76764673084424251</v>
      </c>
      <c r="AC11">
        <f t="shared" si="1"/>
        <v>78.837319257703712</v>
      </c>
      <c r="AG11" s="8" t="s">
        <v>5</v>
      </c>
      <c r="AH11" s="1"/>
      <c r="AI11" s="8">
        <f>AI5-AI6-AI7-AI8-AI9+AI10</f>
        <v>3717.7873785554325</v>
      </c>
    </row>
    <row r="12" spans="2:35">
      <c r="B12" s="43" t="s">
        <v>35</v>
      </c>
      <c r="C12" s="43"/>
      <c r="D12" s="43"/>
      <c r="H12" t="s">
        <v>36</v>
      </c>
      <c r="J12" s="2">
        <f>J9+J10*(J11-J9)</f>
        <v>9.4403299999999996E-2</v>
      </c>
      <c r="N12">
        <v>7</v>
      </c>
      <c r="O12">
        <v>172.3</v>
      </c>
      <c r="P12">
        <v>383</v>
      </c>
      <c r="T12" s="8" t="s">
        <v>37</v>
      </c>
      <c r="U12" s="1"/>
      <c r="V12" s="8">
        <f>AVERAGE(V10:V11)</f>
        <v>6545.3701992234164</v>
      </c>
      <c r="Z12">
        <v>4</v>
      </c>
      <c r="AA12">
        <f>O11</f>
        <v>138</v>
      </c>
      <c r="AB12">
        <f t="shared" si="0"/>
        <v>0.70288111198111081</v>
      </c>
      <c r="AC12">
        <f t="shared" si="1"/>
        <v>96.997593453393293</v>
      </c>
    </row>
    <row r="13" spans="2:35">
      <c r="B13" t="s">
        <v>7</v>
      </c>
      <c r="D13">
        <f>D5</f>
        <v>128.5</v>
      </c>
      <c r="N13">
        <v>8</v>
      </c>
      <c r="O13">
        <v>210.6</v>
      </c>
      <c r="P13">
        <v>421.3</v>
      </c>
      <c r="Z13">
        <v>5</v>
      </c>
      <c r="AA13">
        <f>O12</f>
        <v>172.3</v>
      </c>
      <c r="AB13">
        <f t="shared" si="0"/>
        <v>0.64357970630118555</v>
      </c>
      <c r="AC13">
        <f t="shared" si="1"/>
        <v>110.88878339569428</v>
      </c>
    </row>
    <row r="14" spans="2:35">
      <c r="B14" t="s">
        <v>13</v>
      </c>
      <c r="D14" s="2">
        <f>D6</f>
        <v>0.18</v>
      </c>
      <c r="H14" t="s">
        <v>38</v>
      </c>
      <c r="J14" s="4">
        <f>J5/(J6+J5)</f>
        <v>0.96606521401229251</v>
      </c>
      <c r="N14">
        <v>9</v>
      </c>
      <c r="O14">
        <v>244.9</v>
      </c>
      <c r="P14">
        <v>459.2</v>
      </c>
      <c r="Z14">
        <v>6</v>
      </c>
      <c r="AA14">
        <f>O13</f>
        <v>210.6</v>
      </c>
      <c r="AB14">
        <f t="shared" si="0"/>
        <v>0.58928150337585294</v>
      </c>
      <c r="AC14">
        <f t="shared" si="1"/>
        <v>124.10268461095463</v>
      </c>
      <c r="AG14" s="39" t="s">
        <v>39</v>
      </c>
      <c r="AH14" s="40"/>
      <c r="AI14" s="41"/>
    </row>
    <row r="15" spans="2:35">
      <c r="B15" t="s">
        <v>40</v>
      </c>
      <c r="D15">
        <f>D7+D8</f>
        <v>28</v>
      </c>
      <c r="H15" t="s">
        <v>41</v>
      </c>
      <c r="J15" s="2">
        <f>J6/(J6+J5)</f>
        <v>3.3934785987707501E-2</v>
      </c>
      <c r="N15">
        <v>10</v>
      </c>
      <c r="O15">
        <v>272.8</v>
      </c>
      <c r="P15">
        <v>495.9</v>
      </c>
      <c r="Z15">
        <v>7</v>
      </c>
      <c r="AA15">
        <f>O14</f>
        <v>244.9</v>
      </c>
      <c r="AB15">
        <f t="shared" si="0"/>
        <v>0.53956438778446569</v>
      </c>
      <c r="AC15">
        <f t="shared" si="1"/>
        <v>132.13931856841566</v>
      </c>
      <c r="AG15" t="s">
        <v>5</v>
      </c>
      <c r="AI15">
        <f>AI11</f>
        <v>3717.7873785554325</v>
      </c>
    </row>
    <row r="16" spans="2:35">
      <c r="B16" t="s">
        <v>26</v>
      </c>
      <c r="D16">
        <f>D9</f>
        <v>64.599999999999994</v>
      </c>
      <c r="H16" s="8" t="s">
        <v>1</v>
      </c>
      <c r="I16" s="1"/>
      <c r="J16" s="5">
        <f>(J14*J12)+(J15*J7*(1-J8))</f>
        <v>9.2143063398852934E-2</v>
      </c>
      <c r="Z16">
        <v>8</v>
      </c>
      <c r="AA16">
        <f>O15</f>
        <v>272.8</v>
      </c>
      <c r="AB16">
        <f t="shared" si="0"/>
        <v>0.49404185757980285</v>
      </c>
      <c r="AC16">
        <f t="shared" si="1"/>
        <v>134.77461874777023</v>
      </c>
      <c r="AG16" t="s">
        <v>42</v>
      </c>
      <c r="AI16">
        <v>7.43</v>
      </c>
    </row>
    <row r="17" spans="2:35">
      <c r="B17" t="s">
        <v>29</v>
      </c>
      <c r="D17">
        <f>D10</f>
        <v>-1.4</v>
      </c>
      <c r="Z17">
        <v>9</v>
      </c>
      <c r="AA17">
        <f>O14</f>
        <v>244.9</v>
      </c>
      <c r="AB17">
        <f t="shared" si="0"/>
        <v>0.45236001961345401</v>
      </c>
      <c r="AC17">
        <f t="shared" si="1"/>
        <v>110.7829688033349</v>
      </c>
    </row>
    <row r="18" spans="2:35">
      <c r="B18" s="8" t="s">
        <v>35</v>
      </c>
      <c r="C18" s="1"/>
      <c r="D18" s="3">
        <f>D13*(1-D14)+D15-D16-D17</f>
        <v>70.170000000000016</v>
      </c>
      <c r="Z18">
        <v>10</v>
      </c>
      <c r="AA18">
        <f>O15</f>
        <v>272.8</v>
      </c>
      <c r="AB18">
        <f t="shared" si="0"/>
        <v>0.41419483836272025</v>
      </c>
      <c r="AC18">
        <f t="shared" si="1"/>
        <v>112.99235190535009</v>
      </c>
      <c r="AG18" s="30" t="s">
        <v>39</v>
      </c>
      <c r="AH18" s="33">
        <f>AI15/AI16</f>
        <v>500.3751518917137</v>
      </c>
      <c r="AI18" s="34"/>
    </row>
    <row r="19" spans="2:35">
      <c r="Z19" t="s">
        <v>3</v>
      </c>
      <c r="AA19">
        <f>V12</f>
        <v>6545.3701992234164</v>
      </c>
      <c r="AB19">
        <f>AB18</f>
        <v>0.41419483836272025</v>
      </c>
      <c r="AC19">
        <f>AA19*AB19</f>
        <v>2711.0585516915089</v>
      </c>
      <c r="AG19" s="31"/>
      <c r="AH19" s="35"/>
      <c r="AI19" s="36"/>
    </row>
    <row r="20" spans="2:35">
      <c r="AG20" s="32"/>
      <c r="AH20" s="37"/>
      <c r="AI20" s="38"/>
    </row>
    <row r="21" spans="2:35">
      <c r="Z21" s="8" t="s">
        <v>43</v>
      </c>
      <c r="AA21" s="1"/>
      <c r="AB21" s="1"/>
      <c r="AC21" s="8">
        <f>SUM(AC9:AC19)</f>
        <v>3737.1873785554326</v>
      </c>
    </row>
  </sheetData>
  <mergeCells count="12">
    <mergeCell ref="AG18:AG20"/>
    <mergeCell ref="AH18:AI20"/>
    <mergeCell ref="B2:D2"/>
    <mergeCell ref="B4:D4"/>
    <mergeCell ref="B12:D12"/>
    <mergeCell ref="H2:J2"/>
    <mergeCell ref="N2:P2"/>
    <mergeCell ref="T2:V2"/>
    <mergeCell ref="Z2:AC2"/>
    <mergeCell ref="Z7:AC7"/>
    <mergeCell ref="AG2:AI2"/>
    <mergeCell ref="AG14:AI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55256-9BB7-40DB-A257-B622EF6DD9DE}">
  <dimension ref="B2:X32"/>
  <sheetViews>
    <sheetView showGridLines="0" tabSelected="1" workbookViewId="0">
      <selection activeCell="L8" sqref="L8"/>
    </sheetView>
  </sheetViews>
  <sheetFormatPr defaultRowHeight="15"/>
  <cols>
    <col min="7" max="7" width="13.85546875" customWidth="1"/>
    <col min="8" max="8" width="12.140625" customWidth="1"/>
    <col min="9" max="9" width="13.7109375" bestFit="1" customWidth="1"/>
    <col min="10" max="10" width="13.28515625" customWidth="1"/>
    <col min="12" max="12" width="15" customWidth="1"/>
    <col min="13" max="13" width="12" customWidth="1"/>
    <col min="14" max="14" width="11.7109375" customWidth="1"/>
    <col min="16" max="16" width="13.7109375" customWidth="1"/>
    <col min="17" max="17" width="12.85546875" customWidth="1"/>
  </cols>
  <sheetData>
    <row r="2" spans="2:18" ht="21">
      <c r="B2" s="19" t="s">
        <v>44</v>
      </c>
      <c r="C2" s="19"/>
      <c r="D2" s="19"/>
      <c r="E2" s="19"/>
      <c r="F2" s="19"/>
      <c r="G2" s="19"/>
      <c r="H2" s="19"/>
      <c r="I2" s="6"/>
      <c r="J2" s="6"/>
      <c r="K2" s="6"/>
      <c r="L2" s="6"/>
      <c r="M2" s="6"/>
      <c r="N2" s="6"/>
      <c r="O2" s="6"/>
      <c r="P2" s="6"/>
      <c r="Q2" s="6"/>
      <c r="R2" s="6"/>
    </row>
    <row r="4" spans="2:18">
      <c r="B4" s="12"/>
      <c r="C4" s="12"/>
      <c r="D4" s="12"/>
      <c r="E4" s="12"/>
      <c r="F4" s="25" t="s">
        <v>45</v>
      </c>
      <c r="G4" s="25"/>
      <c r="H4" s="25"/>
      <c r="I4" s="25"/>
      <c r="J4" s="25"/>
      <c r="K4" s="12"/>
      <c r="L4" s="25" t="s">
        <v>46</v>
      </c>
      <c r="M4" s="25"/>
      <c r="N4" s="25"/>
      <c r="O4" s="13"/>
      <c r="P4" s="22" t="s">
        <v>47</v>
      </c>
      <c r="Q4" s="22"/>
      <c r="R4" s="22"/>
    </row>
    <row r="5" spans="2:18" ht="15" customHeight="1">
      <c r="B5" s="13"/>
      <c r="C5" s="13"/>
      <c r="D5" s="13"/>
      <c r="E5" s="13"/>
      <c r="F5" s="23" t="s">
        <v>48</v>
      </c>
      <c r="G5" s="23" t="s">
        <v>42</v>
      </c>
      <c r="H5" s="23" t="s">
        <v>5</v>
      </c>
      <c r="I5" s="23" t="s">
        <v>49</v>
      </c>
      <c r="J5" s="23" t="s">
        <v>12</v>
      </c>
      <c r="K5" s="13"/>
      <c r="L5" s="20" t="s">
        <v>50</v>
      </c>
      <c r="M5" s="20" t="s">
        <v>10</v>
      </c>
      <c r="N5" s="20" t="s">
        <v>51</v>
      </c>
      <c r="O5" s="13"/>
      <c r="P5" s="20" t="s">
        <v>52</v>
      </c>
      <c r="Q5" s="20" t="s">
        <v>53</v>
      </c>
      <c r="R5" s="20" t="s">
        <v>54</v>
      </c>
    </row>
    <row r="6" spans="2:18">
      <c r="B6" s="26" t="s">
        <v>55</v>
      </c>
      <c r="C6" s="26"/>
      <c r="D6" s="26" t="s">
        <v>56</v>
      </c>
      <c r="E6" s="26"/>
      <c r="F6" s="24"/>
      <c r="G6" s="24"/>
      <c r="H6" s="24"/>
      <c r="I6" s="24"/>
      <c r="J6" s="24"/>
      <c r="K6" s="13"/>
      <c r="L6" s="21"/>
      <c r="M6" s="21"/>
      <c r="N6" s="21"/>
      <c r="O6" s="13"/>
      <c r="P6" s="21"/>
      <c r="Q6" s="21"/>
      <c r="R6" s="21"/>
    </row>
    <row r="7" spans="2:18">
      <c r="B7" s="17" t="s">
        <v>57</v>
      </c>
      <c r="C7" s="17"/>
      <c r="D7" s="18" t="s">
        <v>58</v>
      </c>
      <c r="E7" s="18"/>
      <c r="F7">
        <v>123.61</v>
      </c>
      <c r="G7" s="15">
        <v>125490000</v>
      </c>
      <c r="H7">
        <f>F7*G7</f>
        <v>15511818900</v>
      </c>
      <c r="I7" s="15">
        <v>4200000000</v>
      </c>
      <c r="J7">
        <f>H7+I7</f>
        <v>19711818900</v>
      </c>
      <c r="L7" s="16">
        <v>4500000000</v>
      </c>
      <c r="M7" s="16">
        <v>631000000</v>
      </c>
      <c r="N7" s="16">
        <v>354000000</v>
      </c>
      <c r="P7">
        <f>J7/L7</f>
        <v>4.3804042000000001</v>
      </c>
      <c r="Q7">
        <f>J7/M7</f>
        <v>31.239015689381933</v>
      </c>
      <c r="R7">
        <f>H7/N7</f>
        <v>43.818697457627117</v>
      </c>
    </row>
    <row r="8" spans="2:18">
      <c r="B8" s="17"/>
      <c r="C8" s="17"/>
      <c r="D8" s="18"/>
      <c r="E8" s="18"/>
      <c r="L8" s="9"/>
      <c r="M8" s="9"/>
      <c r="N8" s="9"/>
    </row>
    <row r="9" spans="2:18">
      <c r="B9" s="17"/>
      <c r="C9" s="17"/>
      <c r="D9" s="18"/>
      <c r="E9" s="18"/>
    </row>
    <row r="10" spans="2:18">
      <c r="B10" s="17"/>
      <c r="C10" s="17"/>
      <c r="D10" s="18"/>
      <c r="E10" s="18"/>
    </row>
    <row r="11" spans="2:18">
      <c r="B11" s="17"/>
      <c r="C11" s="17"/>
      <c r="D11" s="18"/>
      <c r="E11" s="18"/>
    </row>
    <row r="12" spans="2:18">
      <c r="B12" s="17"/>
      <c r="C12" s="17"/>
      <c r="D12" s="18"/>
      <c r="E12" s="18"/>
    </row>
    <row r="13" spans="2:18">
      <c r="B13" s="17"/>
      <c r="C13" s="17"/>
      <c r="D13" s="18"/>
      <c r="E13" s="18"/>
    </row>
    <row r="14" spans="2:18">
      <c r="B14" s="17"/>
      <c r="C14" s="17"/>
      <c r="D14" s="18"/>
      <c r="E14" s="18"/>
    </row>
    <row r="15" spans="2:18">
      <c r="B15" s="17"/>
      <c r="C15" s="17"/>
      <c r="D15" s="18"/>
      <c r="E15" s="18"/>
    </row>
    <row r="16" spans="2:18">
      <c r="B16" s="17"/>
      <c r="C16" s="17"/>
      <c r="D16" s="18"/>
      <c r="E16" s="18"/>
    </row>
    <row r="19" spans="2:24">
      <c r="B19" s="10" t="s">
        <v>59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>
        <f>MAX(P8:P16)</f>
        <v>0</v>
      </c>
      <c r="Q19" s="10">
        <f>MAX(Q8:Q16)</f>
        <v>0</v>
      </c>
      <c r="R19" s="10">
        <f>MAX(R8:R16)</f>
        <v>0</v>
      </c>
      <c r="X19" s="14"/>
    </row>
    <row r="20" spans="2:24">
      <c r="B20" s="28" t="s">
        <v>60</v>
      </c>
      <c r="C20" s="28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 t="e">
        <f>QUARTILE(P8:P16,3)</f>
        <v>#NUM!</v>
      </c>
      <c r="Q20" s="10" t="e">
        <f>QUARTILE(Q8:Q16,3)</f>
        <v>#NUM!</v>
      </c>
      <c r="R20" s="10" t="e">
        <f>QUARTILE(R8:R16,3)</f>
        <v>#NUM!</v>
      </c>
    </row>
    <row r="21" spans="2:24">
      <c r="B21" s="10" t="s">
        <v>61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 t="e">
        <f>AVERAGE(P8:P16)</f>
        <v>#DIV/0!</v>
      </c>
      <c r="Q21" s="10" t="e">
        <f>AVERAGE(Q8:Q16)</f>
        <v>#DIV/0!</v>
      </c>
      <c r="R21" s="10" t="e">
        <f>AVERAGE(R8:R16)</f>
        <v>#DIV/0!</v>
      </c>
    </row>
    <row r="22" spans="2:24">
      <c r="B22" s="10" t="s">
        <v>62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 t="e">
        <f>MEDIAN(P8:P16)</f>
        <v>#NUM!</v>
      </c>
      <c r="Q22" s="10" t="e">
        <f>MEDIAN(Q8:Q16)</f>
        <v>#NUM!</v>
      </c>
      <c r="R22" s="10" t="e">
        <f>MEDIAN(R8:R16)</f>
        <v>#NUM!</v>
      </c>
    </row>
    <row r="23" spans="2:24">
      <c r="B23" s="28" t="s">
        <v>63</v>
      </c>
      <c r="C23" s="28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 t="e">
        <f>QUARTILE(P8:P16,1)</f>
        <v>#NUM!</v>
      </c>
      <c r="Q23" s="10" t="e">
        <f>QUARTILE(Q8:Q16,1)</f>
        <v>#NUM!</v>
      </c>
      <c r="R23" s="10" t="e">
        <f>QUARTILE(R8:R16,1)</f>
        <v>#NUM!</v>
      </c>
    </row>
    <row r="24" spans="2:24">
      <c r="B24" s="10" t="s">
        <v>64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>
        <f>MIN(P8:P16)</f>
        <v>0</v>
      </c>
      <c r="Q24" s="10">
        <f>MIN(Q8:Q16)</f>
        <v>0</v>
      </c>
      <c r="R24" s="10">
        <f>MIN(R8:R16)</f>
        <v>0</v>
      </c>
    </row>
    <row r="27" spans="2:24">
      <c r="B27" s="29" t="s">
        <v>65</v>
      </c>
      <c r="C27" s="29"/>
      <c r="D27" s="29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 t="s">
        <v>52</v>
      </c>
      <c r="Q27" s="13" t="s">
        <v>53</v>
      </c>
      <c r="R27" s="13" t="s">
        <v>54</v>
      </c>
    </row>
    <row r="28" spans="2:24">
      <c r="B28" t="s">
        <v>66</v>
      </c>
      <c r="P28" t="e">
        <f>P21*L7</f>
        <v>#DIV/0!</v>
      </c>
      <c r="Q28" t="e">
        <f>Q21*M7</f>
        <v>#DIV/0!</v>
      </c>
      <c r="R28" t="e">
        <f>R29+R30</f>
        <v>#DIV/0!</v>
      </c>
    </row>
    <row r="29" spans="2:24">
      <c r="B29" s="17" t="s">
        <v>49</v>
      </c>
      <c r="C29" s="17"/>
      <c r="P29">
        <f>$I$7</f>
        <v>4200000000</v>
      </c>
      <c r="Q29">
        <f>$I$7</f>
        <v>4200000000</v>
      </c>
      <c r="R29">
        <f>$I$7</f>
        <v>4200000000</v>
      </c>
    </row>
    <row r="30" spans="2:24">
      <c r="B30" s="17" t="s">
        <v>67</v>
      </c>
      <c r="C30" s="17"/>
      <c r="D30" s="17"/>
      <c r="P30" t="e">
        <f>P28-P29</f>
        <v>#DIV/0!</v>
      </c>
      <c r="Q30" t="e">
        <f>Q28-Q29</f>
        <v>#DIV/0!</v>
      </c>
      <c r="R30" t="e">
        <f>R21*N7</f>
        <v>#DIV/0!</v>
      </c>
    </row>
    <row r="31" spans="2:24">
      <c r="B31" s="17" t="s">
        <v>42</v>
      </c>
      <c r="C31" s="17"/>
      <c r="D31" s="17"/>
      <c r="P31">
        <f>$G$7</f>
        <v>125490000</v>
      </c>
      <c r="Q31">
        <f>$G$7</f>
        <v>125490000</v>
      </c>
      <c r="R31">
        <f>$G$7</f>
        <v>125490000</v>
      </c>
    </row>
    <row r="32" spans="2:24">
      <c r="B32" s="27" t="s">
        <v>68</v>
      </c>
      <c r="C32" s="27"/>
      <c r="D32" s="27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 t="e">
        <f>P30/P31</f>
        <v>#DIV/0!</v>
      </c>
      <c r="Q32" s="11" t="e">
        <f>Q30/Q31</f>
        <v>#DIV/0!</v>
      </c>
      <c r="R32" s="11" t="e">
        <f>R30/R31</f>
        <v>#DIV/0!</v>
      </c>
    </row>
  </sheetData>
  <mergeCells count="44">
    <mergeCell ref="B29:C29"/>
    <mergeCell ref="B31:D31"/>
    <mergeCell ref="B30:D30"/>
    <mergeCell ref="B32:D32"/>
    <mergeCell ref="L4:N4"/>
    <mergeCell ref="B20:C20"/>
    <mergeCell ref="B23:C23"/>
    <mergeCell ref="B27:D27"/>
    <mergeCell ref="B7:C7"/>
    <mergeCell ref="B8:C8"/>
    <mergeCell ref="B9:C9"/>
    <mergeCell ref="B10:C10"/>
    <mergeCell ref="B11:C11"/>
    <mergeCell ref="B12:C12"/>
    <mergeCell ref="B13:C13"/>
    <mergeCell ref="B14:C14"/>
    <mergeCell ref="B2:H2"/>
    <mergeCell ref="P5:P6"/>
    <mergeCell ref="Q5:Q6"/>
    <mergeCell ref="R5:R6"/>
    <mergeCell ref="P4:R4"/>
    <mergeCell ref="F5:F6"/>
    <mergeCell ref="H5:H6"/>
    <mergeCell ref="I5:I6"/>
    <mergeCell ref="J5:J6"/>
    <mergeCell ref="F4:J4"/>
    <mergeCell ref="L5:L6"/>
    <mergeCell ref="G5:G6"/>
    <mergeCell ref="B6:C6"/>
    <mergeCell ref="D6:E6"/>
    <mergeCell ref="M5:M6"/>
    <mergeCell ref="N5:N6"/>
    <mergeCell ref="B15:C15"/>
    <mergeCell ref="B16:C1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2026-09-19T20:38:37Z</dcterms:created>
  <dcterms:modified xsi:type="dcterms:W3CDTF">2026-10-07T15:43:26Z</dcterms:modified>
  <cp:category/>
  <cp:contentStatus/>
</cp:coreProperties>
</file>